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360" windowHeight="9504" activeTab="0"/>
  </bookViews>
  <sheets>
    <sheet name="harm-wzor" sheetId="1" r:id="rId1"/>
  </sheets>
  <definedNames/>
  <calcPr fullCalcOnLoad="1" fullPrecision="0"/>
</workbook>
</file>

<file path=xl/comments1.xml><?xml version="1.0" encoding="utf-8"?>
<comments xmlns="http://schemas.openxmlformats.org/spreadsheetml/2006/main">
  <authors>
    <author>robert</author>
    <author>owp</author>
  </authors>
  <commentList>
    <comment ref="E15" authorId="0">
      <text>
        <r>
          <rPr>
            <sz val="8"/>
            <rFont val="Tahoma"/>
            <family val="0"/>
          </rPr>
          <t>od 7% do 10% w zależności od linii 
pożyczkowej</t>
        </r>
      </text>
    </comment>
    <comment ref="E13" authorId="0">
      <text>
        <r>
          <rPr>
            <sz val="8"/>
            <rFont val="Tahoma"/>
            <family val="2"/>
          </rPr>
          <t xml:space="preserve">maksymalna długość  i karencji wynosi  6 miesięcy* - nie obowiązuje we wszystkich liniach pożyczkowych </t>
        </r>
        <r>
          <rPr>
            <sz val="8"/>
            <rFont val="Tahoma"/>
            <family val="0"/>
          </rPr>
          <t xml:space="preserve">
</t>
        </r>
      </text>
    </comment>
    <comment ref="E12" authorId="1">
      <text>
        <r>
          <rPr>
            <sz val="8"/>
            <rFont val="Tahoma"/>
            <family val="0"/>
          </rPr>
          <t xml:space="preserve">max liczba miesięcy 60
</t>
        </r>
      </text>
    </comment>
  </commentList>
</comments>
</file>

<file path=xl/sharedStrings.xml><?xml version="1.0" encoding="utf-8"?>
<sst xmlns="http://schemas.openxmlformats.org/spreadsheetml/2006/main" count="34" uniqueCount="32">
  <si>
    <t>SPŁATY RAT I ODSETEK LICZONE METODĄ TRADYCYJNĄ</t>
  </si>
  <si>
    <t>Wnioskodawca :</t>
  </si>
  <si>
    <t>Kredyt płatny :</t>
  </si>
  <si>
    <t>jednorazowo</t>
  </si>
  <si>
    <t>Wnioskowana kwota kredytu (w PLN) :</t>
  </si>
  <si>
    <t>Częstotliwość spłat rat kredytu (miesięczna / kwartalna) :</t>
  </si>
  <si>
    <t>miesięczna</t>
  </si>
  <si>
    <t>Częstotliwość spłat odsetek (miesięczna / kwartalna) :</t>
  </si>
  <si>
    <t>Okres spłaty (ilość miesięcy) :</t>
  </si>
  <si>
    <t>Długość karencji (ilość miesięcy) :</t>
  </si>
  <si>
    <t>Ilość rat (okres-karencja) :</t>
  </si>
  <si>
    <t>Oprocentowanie roczne w kolejnych latach :</t>
  </si>
  <si>
    <t>Lp.</t>
  </si>
  <si>
    <t>Miesiąc</t>
  </si>
  <si>
    <t>Kapitał</t>
  </si>
  <si>
    <t>Rata</t>
  </si>
  <si>
    <t>Kwota spłaty</t>
  </si>
  <si>
    <t xml:space="preserve"> </t>
  </si>
  <si>
    <t>do zapłaty</t>
  </si>
  <si>
    <t>pożyczki</t>
  </si>
  <si>
    <t>odsetek</t>
  </si>
  <si>
    <t>razem</t>
  </si>
  <si>
    <t>S U M A</t>
  </si>
  <si>
    <t xml:space="preserve">Średnie miesięczne obciążenie </t>
  </si>
  <si>
    <t>I rok</t>
  </si>
  <si>
    <t>II rok</t>
  </si>
  <si>
    <t>III rok</t>
  </si>
  <si>
    <t>Spłatą pożyczki</t>
  </si>
  <si>
    <t>Spłatą odsetek</t>
  </si>
  <si>
    <t>Spłatą rat z odsetkami</t>
  </si>
  <si>
    <t>OSTRZESZÓW</t>
  </si>
  <si>
    <t xml:space="preserve">STOWARZYSZENIE OCP - FRP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</si>
</sst>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/yy"/>
    <numFmt numFmtId="165" formatCode="0.0"/>
    <numFmt numFmtId="166" formatCode="mm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">
    <font>
      <sz val="10"/>
      <name val="Arial CE"/>
      <family val="0"/>
    </font>
    <font>
      <sz val="12"/>
      <name val="Times New Roman CE"/>
      <family val="1"/>
    </font>
    <font>
      <b/>
      <i/>
      <sz val="16"/>
      <name val="Times New Roman CE"/>
      <family val="1"/>
    </font>
    <font>
      <b/>
      <sz val="12"/>
      <name val="Times New Roman CE"/>
      <family val="1"/>
    </font>
    <font>
      <sz val="8"/>
      <name val="Tahoma"/>
      <family val="0"/>
    </font>
    <font>
      <sz val="8"/>
      <name val="Arial CE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gray0625">
        <fgColor indexed="10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9" fontId="0" fillId="0" borderId="0" xfId="0" applyNumberFormat="1" applyAlignment="1">
      <alignment/>
    </xf>
    <xf numFmtId="3" fontId="2" fillId="0" borderId="0" xfId="0" applyNumberFormat="1" applyFont="1" applyAlignment="1" applyProtection="1" quotePrefix="1">
      <alignment horizontal="left"/>
      <protection/>
    </xf>
    <xf numFmtId="3" fontId="1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 quotePrefix="1">
      <alignment horizontal="left"/>
      <protection/>
    </xf>
    <xf numFmtId="3" fontId="1" fillId="0" borderId="0" xfId="0" applyNumberFormat="1" applyFont="1" applyAlignment="1" applyProtection="1" quotePrefix="1">
      <alignment horizontal="left"/>
      <protection/>
    </xf>
    <xf numFmtId="3" fontId="1" fillId="0" borderId="0" xfId="0" applyNumberFormat="1" applyFont="1" applyFill="1" applyAlignment="1" applyProtection="1">
      <alignment horizontal="right"/>
      <protection/>
    </xf>
    <xf numFmtId="3" fontId="1" fillId="2" borderId="0" xfId="0" applyNumberFormat="1" applyFont="1" applyFill="1" applyAlignment="1" applyProtection="1">
      <alignment horizontal="right"/>
      <protection locked="0"/>
    </xf>
    <xf numFmtId="10" fontId="1" fillId="2" borderId="0" xfId="17" applyNumberFormat="1" applyFont="1" applyFill="1" applyAlignment="1" applyProtection="1">
      <alignment/>
      <protection locked="0"/>
    </xf>
    <xf numFmtId="3" fontId="3" fillId="0" borderId="1" xfId="0" applyNumberFormat="1" applyFont="1" applyBorder="1" applyAlignment="1" applyProtection="1">
      <alignment horizontal="center"/>
      <protection/>
    </xf>
    <xf numFmtId="3" fontId="3" fillId="0" borderId="2" xfId="0" applyNumberFormat="1" applyFont="1" applyBorder="1" applyAlignment="1" applyProtection="1">
      <alignment horizontal="center"/>
      <protection/>
    </xf>
    <xf numFmtId="3" fontId="3" fillId="0" borderId="3" xfId="0" applyNumberFormat="1" applyFont="1" applyBorder="1" applyAlignment="1" applyProtection="1">
      <alignment horizontal="center"/>
      <protection/>
    </xf>
    <xf numFmtId="3" fontId="3" fillId="0" borderId="4" xfId="0" applyNumberFormat="1" applyFont="1" applyBorder="1" applyAlignment="1" applyProtection="1">
      <alignment horizontal="center"/>
      <protection/>
    </xf>
    <xf numFmtId="3" fontId="3" fillId="0" borderId="5" xfId="0" applyNumberFormat="1" applyFont="1" applyBorder="1" applyAlignment="1" applyProtection="1">
      <alignment horizontal="center"/>
      <protection/>
    </xf>
    <xf numFmtId="3" fontId="3" fillId="0" borderId="6" xfId="0" applyNumberFormat="1" applyFont="1" applyBorder="1" applyAlignment="1" applyProtection="1">
      <alignment horizontal="center"/>
      <protection/>
    </xf>
    <xf numFmtId="3" fontId="3" fillId="0" borderId="7" xfId="0" applyNumberFormat="1" applyFont="1" applyBorder="1" applyAlignment="1" applyProtection="1">
      <alignment horizontal="center"/>
      <protection/>
    </xf>
    <xf numFmtId="3" fontId="3" fillId="0" borderId="8" xfId="0" applyNumberFormat="1" applyFont="1" applyBorder="1" applyAlignment="1" applyProtection="1">
      <alignment/>
      <protection/>
    </xf>
    <xf numFmtId="3" fontId="3" fillId="0" borderId="9" xfId="0" applyNumberFormat="1" applyFont="1" applyBorder="1" applyAlignment="1" applyProtection="1">
      <alignment horizontal="center"/>
      <protection/>
    </xf>
    <xf numFmtId="3" fontId="1" fillId="0" borderId="10" xfId="0" applyNumberFormat="1" applyFont="1" applyBorder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/>
      <protection/>
    </xf>
    <xf numFmtId="1" fontId="1" fillId="0" borderId="12" xfId="0" applyNumberFormat="1" applyFont="1" applyBorder="1" applyAlignment="1" applyProtection="1">
      <alignment/>
      <protection/>
    </xf>
    <xf numFmtId="3" fontId="1" fillId="0" borderId="13" xfId="0" applyNumberFormat="1" applyFont="1" applyBorder="1" applyAlignment="1" applyProtection="1" quotePrefix="1">
      <alignment horizontal="center"/>
      <protection/>
    </xf>
    <xf numFmtId="1" fontId="3" fillId="0" borderId="14" xfId="0" applyNumberFormat="1" applyFont="1" applyBorder="1" applyAlignment="1" applyProtection="1">
      <alignment horizontal="center"/>
      <protection/>
    </xf>
    <xf numFmtId="1" fontId="3" fillId="0" borderId="14" xfId="0" applyNumberFormat="1" applyFont="1" applyBorder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3" fontId="3" fillId="0" borderId="15" xfId="0" applyNumberFormat="1" applyFont="1" applyBorder="1" applyAlignment="1" applyProtection="1">
      <alignment horizontal="left"/>
      <protection/>
    </xf>
    <xf numFmtId="3" fontId="3" fillId="0" borderId="16" xfId="0" applyNumberFormat="1" applyFont="1" applyBorder="1" applyAlignment="1" applyProtection="1">
      <alignment horizontal="center"/>
      <protection/>
    </xf>
    <xf numFmtId="1" fontId="3" fillId="0" borderId="2" xfId="0" applyNumberFormat="1" applyFont="1" applyBorder="1" applyAlignment="1" applyProtection="1">
      <alignment horizontal="center"/>
      <protection/>
    </xf>
    <xf numFmtId="1" fontId="3" fillId="0" borderId="17" xfId="0" applyNumberFormat="1" applyFont="1" applyBorder="1" applyAlignment="1" applyProtection="1">
      <alignment horizontal="center"/>
      <protection/>
    </xf>
    <xf numFmtId="3" fontId="3" fillId="0" borderId="18" xfId="0" applyNumberFormat="1" applyFont="1" applyBorder="1" applyAlignment="1" applyProtection="1">
      <alignment horizontal="center"/>
      <protection/>
    </xf>
    <xf numFmtId="3" fontId="3" fillId="0" borderId="19" xfId="0" applyNumberFormat="1" applyFont="1" applyBorder="1" applyAlignment="1" applyProtection="1">
      <alignment horizontal="center"/>
      <protection/>
    </xf>
    <xf numFmtId="1" fontId="3" fillId="0" borderId="8" xfId="0" applyNumberFormat="1" applyFont="1" applyBorder="1" applyAlignment="1" applyProtection="1">
      <alignment horizontal="center"/>
      <protection/>
    </xf>
    <xf numFmtId="1" fontId="3" fillId="0" borderId="20" xfId="0" applyNumberFormat="1" applyFont="1" applyBorder="1" applyAlignment="1" applyProtection="1">
      <alignment horizontal="center"/>
      <protection/>
    </xf>
    <xf numFmtId="3" fontId="1" fillId="0" borderId="21" xfId="0" applyNumberFormat="1" applyFont="1" applyBorder="1" applyAlignment="1" applyProtection="1">
      <alignment/>
      <protection/>
    </xf>
    <xf numFmtId="3" fontId="1" fillId="0" borderId="22" xfId="0" applyNumberFormat="1" applyFont="1" applyBorder="1" applyAlignment="1" applyProtection="1">
      <alignment/>
      <protection/>
    </xf>
    <xf numFmtId="1" fontId="1" fillId="0" borderId="23" xfId="0" applyNumberFormat="1" applyFont="1" applyBorder="1" applyAlignment="1" applyProtection="1">
      <alignment/>
      <protection/>
    </xf>
    <xf numFmtId="3" fontId="1" fillId="0" borderId="24" xfId="0" applyNumberFormat="1" applyFont="1" applyBorder="1" applyAlignment="1" applyProtection="1">
      <alignment/>
      <protection/>
    </xf>
    <xf numFmtId="3" fontId="1" fillId="0" borderId="25" xfId="0" applyNumberFormat="1" applyFont="1" applyBorder="1" applyAlignment="1" applyProtection="1">
      <alignment/>
      <protection/>
    </xf>
    <xf numFmtId="1" fontId="1" fillId="0" borderId="26" xfId="0" applyNumberFormat="1" applyFont="1" applyBorder="1" applyAlignment="1" applyProtection="1">
      <alignment/>
      <protection/>
    </xf>
    <xf numFmtId="1" fontId="1" fillId="0" borderId="27" xfId="0" applyNumberFormat="1" applyFont="1" applyBorder="1" applyAlignment="1" applyProtection="1">
      <alignment/>
      <protection/>
    </xf>
    <xf numFmtId="3" fontId="3" fillId="2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 applyProtection="1">
      <alignment horizontal="left"/>
      <protection locked="0"/>
    </xf>
    <xf numFmtId="166" fontId="1" fillId="2" borderId="11" xfId="0" applyNumberFormat="1" applyFont="1" applyFill="1" applyBorder="1" applyAlignment="1" applyProtection="1">
      <alignment horizontal="center"/>
      <protection locked="0"/>
    </xf>
    <xf numFmtId="166" fontId="1" fillId="3" borderId="11" xfId="0" applyNumberFormat="1" applyFont="1" applyFill="1" applyBorder="1" applyAlignment="1" applyProtection="1">
      <alignment horizontal="center"/>
      <protection/>
    </xf>
    <xf numFmtId="3" fontId="1" fillId="0" borderId="28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workbookViewId="0" topLeftCell="A1">
      <selection activeCell="B21" sqref="B21"/>
    </sheetView>
  </sheetViews>
  <sheetFormatPr defaultColWidth="9.00390625" defaultRowHeight="12.75"/>
  <cols>
    <col min="1" max="3" width="17.625" style="0" customWidth="1"/>
    <col min="4" max="4" width="12.875" style="0" customWidth="1"/>
    <col min="5" max="5" width="12.625" style="0" customWidth="1"/>
    <col min="6" max="6" width="12.125" style="0" customWidth="1"/>
  </cols>
  <sheetData>
    <row r="1" spans="1:8" ht="15">
      <c r="A1" s="47" t="s">
        <v>31</v>
      </c>
      <c r="B1" s="48"/>
      <c r="C1" s="48"/>
      <c r="D1" s="48"/>
      <c r="E1" s="48"/>
      <c r="F1" s="49"/>
      <c r="G1" s="1"/>
      <c r="H1" s="3"/>
    </row>
    <row r="2" spans="1:7" ht="15">
      <c r="A2" s="1"/>
      <c r="B2" s="2"/>
      <c r="C2" s="2" t="s">
        <v>30</v>
      </c>
      <c r="D2" s="2"/>
      <c r="E2" s="2"/>
      <c r="F2" s="1"/>
      <c r="G2" s="1"/>
    </row>
    <row r="3" spans="1:7" ht="0.75" customHeight="1">
      <c r="A3" s="1"/>
      <c r="B3" s="1"/>
      <c r="C3" s="1"/>
      <c r="D3" s="1"/>
      <c r="E3" s="1"/>
      <c r="F3" s="1"/>
      <c r="G3" s="1"/>
    </row>
    <row r="4" spans="1:7" ht="20.25">
      <c r="A4" s="4" t="s">
        <v>0</v>
      </c>
      <c r="B4" s="5"/>
      <c r="C4" s="5"/>
      <c r="D4" s="5"/>
      <c r="E4" s="5"/>
      <c r="F4" s="1"/>
      <c r="G4" s="1"/>
    </row>
    <row r="5" spans="1:7" ht="15">
      <c r="A5" s="5"/>
      <c r="B5" s="5"/>
      <c r="C5" s="5"/>
      <c r="D5" s="5"/>
      <c r="E5" s="5"/>
      <c r="F5" s="5"/>
      <c r="G5" s="1"/>
    </row>
    <row r="6" spans="1:7" ht="15">
      <c r="A6" s="5"/>
      <c r="B6" s="5"/>
      <c r="C6" s="5"/>
      <c r="D6" s="5"/>
      <c r="E6" s="5"/>
      <c r="F6" s="5"/>
      <c r="G6" s="1"/>
    </row>
    <row r="7" spans="2:7" ht="15.75">
      <c r="B7" s="6" t="s">
        <v>1</v>
      </c>
      <c r="C7" s="43"/>
      <c r="D7" s="43"/>
      <c r="E7" s="42"/>
      <c r="F7" s="5"/>
      <c r="G7" s="1"/>
    </row>
    <row r="8" spans="2:7" ht="15">
      <c r="B8" s="7" t="s">
        <v>2</v>
      </c>
      <c r="C8" s="5"/>
      <c r="D8" s="5"/>
      <c r="E8" s="8" t="s">
        <v>3</v>
      </c>
      <c r="F8" s="5"/>
      <c r="G8" s="1"/>
    </row>
    <row r="9" spans="2:7" ht="15">
      <c r="B9" s="7" t="s">
        <v>4</v>
      </c>
      <c r="C9" s="5"/>
      <c r="D9" s="5"/>
      <c r="E9" s="9">
        <v>20000</v>
      </c>
      <c r="F9" s="5"/>
      <c r="G9" s="1"/>
    </row>
    <row r="10" spans="2:7" ht="15">
      <c r="B10" s="7" t="s">
        <v>5</v>
      </c>
      <c r="C10" s="5"/>
      <c r="D10" s="5"/>
      <c r="E10" s="9" t="s">
        <v>6</v>
      </c>
      <c r="F10" s="5"/>
      <c r="G10" s="1"/>
    </row>
    <row r="11" spans="2:7" ht="15">
      <c r="B11" s="7" t="s">
        <v>7</v>
      </c>
      <c r="C11" s="5"/>
      <c r="D11" s="5"/>
      <c r="E11" s="9" t="s">
        <v>6</v>
      </c>
      <c r="F11" s="5"/>
      <c r="G11" s="1"/>
    </row>
    <row r="12" spans="2:7" ht="15">
      <c r="B12" s="7" t="s">
        <v>8</v>
      </c>
      <c r="C12" s="5"/>
      <c r="D12" s="5"/>
      <c r="E12" s="9">
        <v>60</v>
      </c>
      <c r="F12" s="5"/>
      <c r="G12" s="1"/>
    </row>
    <row r="13" spans="2:7" ht="15">
      <c r="B13" s="7" t="s">
        <v>9</v>
      </c>
      <c r="C13" s="5"/>
      <c r="D13" s="5"/>
      <c r="E13" s="9">
        <v>3</v>
      </c>
      <c r="F13" s="5"/>
      <c r="G13" s="1"/>
    </row>
    <row r="14" spans="2:7" ht="15">
      <c r="B14" s="5" t="s">
        <v>10</v>
      </c>
      <c r="C14" s="5"/>
      <c r="D14" s="5"/>
      <c r="E14" s="8">
        <f>SUM(E12-E13)</f>
        <v>57</v>
      </c>
      <c r="F14" s="5"/>
      <c r="G14" s="1"/>
    </row>
    <row r="15" spans="2:7" ht="15">
      <c r="B15" s="7" t="s">
        <v>11</v>
      </c>
      <c r="C15" s="5"/>
      <c r="D15" s="5"/>
      <c r="E15" s="10">
        <v>0.0493</v>
      </c>
      <c r="F15" s="5"/>
      <c r="G15" s="1"/>
    </row>
    <row r="16" spans="1:7" ht="15.75" thickBot="1">
      <c r="A16" s="5"/>
      <c r="B16" s="5"/>
      <c r="C16" s="5"/>
      <c r="D16" s="5"/>
      <c r="E16" s="5"/>
      <c r="F16" s="5"/>
      <c r="G16" s="1"/>
    </row>
    <row r="17" spans="1:7" ht="15.75" thickTop="1">
      <c r="A17" s="11" t="s">
        <v>12</v>
      </c>
      <c r="B17" s="12" t="s">
        <v>13</v>
      </c>
      <c r="C17" s="12" t="s">
        <v>14</v>
      </c>
      <c r="D17" s="12" t="s">
        <v>15</v>
      </c>
      <c r="E17" s="12" t="s">
        <v>15</v>
      </c>
      <c r="F17" s="13" t="s">
        <v>16</v>
      </c>
      <c r="G17" s="1"/>
    </row>
    <row r="18" spans="1:7" ht="15">
      <c r="A18" s="14"/>
      <c r="B18" s="15" t="s">
        <v>17</v>
      </c>
      <c r="C18" s="15" t="s">
        <v>18</v>
      </c>
      <c r="D18" s="15" t="s">
        <v>19</v>
      </c>
      <c r="E18" s="15" t="s">
        <v>20</v>
      </c>
      <c r="F18" s="16" t="s">
        <v>21</v>
      </c>
      <c r="G18" s="1"/>
    </row>
    <row r="19" spans="1:7" ht="15.75" thickBot="1">
      <c r="A19" s="17"/>
      <c r="B19" s="18"/>
      <c r="C19" s="18"/>
      <c r="D19" s="18"/>
      <c r="E19" s="18"/>
      <c r="F19" s="19"/>
      <c r="G19" s="1"/>
    </row>
    <row r="20" spans="1:7" ht="15.75" thickTop="1">
      <c r="A20" s="20">
        <v>1</v>
      </c>
      <c r="B20" s="44">
        <v>41834</v>
      </c>
      <c r="C20" s="21">
        <f>SUM($E$9)</f>
        <v>20000</v>
      </c>
      <c r="D20" s="21">
        <f>IF($E$10="miesięczna",IF($E$12&lt;1,0,IF((A20-$E$13-1)&lt;0,0,(C20/($E$14-(A20-$E$13-1))))),IF($E$12&lt;1,0,0))</f>
        <v>0</v>
      </c>
      <c r="E20" s="21">
        <f aca="true" t="shared" si="0" ref="E20:E54">IF($E$11="miesięczna",C20*$E$15/12,0)</f>
        <v>82</v>
      </c>
      <c r="F20" s="22">
        <f>SUM($D$20:$E$20)</f>
        <v>82</v>
      </c>
      <c r="G20" s="1"/>
    </row>
    <row r="21" spans="1:7" ht="15">
      <c r="A21" s="20">
        <v>2</v>
      </c>
      <c r="B21" s="45">
        <f>IF(B20,DATE(YEAR(B20),MONTH(B20)+1,1))</f>
        <v>41852</v>
      </c>
      <c r="C21" s="21">
        <f aca="true" t="shared" si="1" ref="C21:C52">SUM(C20-D20)</f>
        <v>20000</v>
      </c>
      <c r="D21" s="21">
        <f>IF($E$10="miesięczna",IF($E$12&lt;2,0,IF((A21-$E$13-1)&lt;0,0,(C21/($E$14-(A21-$E$13-1))))),IF($E$12&lt;2,0,0))</f>
        <v>0</v>
      </c>
      <c r="E21" s="21">
        <f t="shared" si="0"/>
        <v>82</v>
      </c>
      <c r="F21" s="22">
        <f aca="true" t="shared" si="2" ref="F21:F52">SUM(D21:E21)</f>
        <v>82</v>
      </c>
      <c r="G21" s="1"/>
    </row>
    <row r="22" spans="1:7" ht="15">
      <c r="A22" s="20">
        <v>3</v>
      </c>
      <c r="B22" s="45">
        <f aca="true" t="shared" si="3" ref="B22:B79">IF(B21,DATE(YEAR(B21),MONTH(B21)+1,1))</f>
        <v>41883</v>
      </c>
      <c r="C22" s="21">
        <f t="shared" si="1"/>
        <v>20000</v>
      </c>
      <c r="D22" s="21">
        <f>IF($E$10="miesięczna",IF($E$12&lt;3,0,IF((A22-$E$13-1)&lt;0,0,(C22/($E$14-(A22-$E$13-1))))),IF($E$12&lt;3,0,IF((A22-$E$13-3)&lt;0,0,(3*C22/($E$14-(A22-$E$13-3))))))</f>
        <v>0</v>
      </c>
      <c r="E22" s="21">
        <f t="shared" si="0"/>
        <v>82</v>
      </c>
      <c r="F22" s="22">
        <f t="shared" si="2"/>
        <v>82</v>
      </c>
      <c r="G22" s="1"/>
    </row>
    <row r="23" spans="1:7" ht="15">
      <c r="A23" s="20">
        <v>4</v>
      </c>
      <c r="B23" s="45">
        <f t="shared" si="3"/>
        <v>41913</v>
      </c>
      <c r="C23" s="21">
        <f t="shared" si="1"/>
        <v>20000</v>
      </c>
      <c r="D23" s="21">
        <f>IF($E$10="miesięczna",IF($E$12&lt;4,0,IF((A23-$E$13-1)&lt;0,0,(C23/($E$14-(A23-$E$13-1))))),IF($E$12&lt;4,0,0))</f>
        <v>351</v>
      </c>
      <c r="E23" s="21">
        <f t="shared" si="0"/>
        <v>82</v>
      </c>
      <c r="F23" s="22">
        <f t="shared" si="2"/>
        <v>433</v>
      </c>
      <c r="G23" s="1"/>
    </row>
    <row r="24" spans="1:7" ht="15">
      <c r="A24" s="20">
        <v>5</v>
      </c>
      <c r="B24" s="45">
        <f t="shared" si="3"/>
        <v>41944</v>
      </c>
      <c r="C24" s="21">
        <f t="shared" si="1"/>
        <v>19649</v>
      </c>
      <c r="D24" s="21">
        <f>IF($E$10="miesięczna",IF($E$12&lt;5,0,IF((A24-$E$13-1)&lt;0,0,(C24/($E$14-(A24-$E$13-1))))),IF($E$12&lt;5,0,0))</f>
        <v>351</v>
      </c>
      <c r="E24" s="21">
        <f t="shared" si="0"/>
        <v>81</v>
      </c>
      <c r="F24" s="22">
        <f t="shared" si="2"/>
        <v>432</v>
      </c>
      <c r="G24" s="1"/>
    </row>
    <row r="25" spans="1:7" ht="15">
      <c r="A25" s="20">
        <v>6</v>
      </c>
      <c r="B25" s="45">
        <f t="shared" si="3"/>
        <v>41974</v>
      </c>
      <c r="C25" s="21">
        <f t="shared" si="1"/>
        <v>19298</v>
      </c>
      <c r="D25" s="21">
        <f>IF($E$10="miesięczna",IF($E$12&lt;6,0,IF((A25-$E$13-1)&lt;0,0,(C25/($E$14-(A25-$E$13-1))))),IF($E$12&lt;6,0,IF((A25-$E$13-3)&lt;0,0,(3*C25/($E$14-(A25-$E$13-3))))))</f>
        <v>351</v>
      </c>
      <c r="E25" s="21">
        <f t="shared" si="0"/>
        <v>79</v>
      </c>
      <c r="F25" s="22">
        <f t="shared" si="2"/>
        <v>430</v>
      </c>
      <c r="G25" s="1"/>
    </row>
    <row r="26" spans="1:7" ht="15">
      <c r="A26" s="20">
        <v>7</v>
      </c>
      <c r="B26" s="45">
        <f t="shared" si="3"/>
        <v>42005</v>
      </c>
      <c r="C26" s="21">
        <f t="shared" si="1"/>
        <v>18947</v>
      </c>
      <c r="D26" s="21">
        <f>IF($E$10="miesięczna",IF($E$12&lt;7,0,IF((A26-$E$13-1)&lt;0,0,(C26/($E$14-(A26-$E$13-1))))),IF($E$12&lt;7,0,0))</f>
        <v>351</v>
      </c>
      <c r="E26" s="21">
        <f t="shared" si="0"/>
        <v>78</v>
      </c>
      <c r="F26" s="22">
        <f t="shared" si="2"/>
        <v>429</v>
      </c>
      <c r="G26" s="1"/>
    </row>
    <row r="27" spans="1:7" ht="15">
      <c r="A27" s="20">
        <v>8</v>
      </c>
      <c r="B27" s="45">
        <f t="shared" si="3"/>
        <v>42036</v>
      </c>
      <c r="C27" s="21">
        <f t="shared" si="1"/>
        <v>18596</v>
      </c>
      <c r="D27" s="21">
        <f>IF($E$10="miesięczna",IF($E$12&lt;8,0,IF((A27-$E$13-1)&lt;0,0,(C27/($E$14-(A27-$E$13-1))))),IF($E$12&lt;8,0,0))</f>
        <v>351</v>
      </c>
      <c r="E27" s="21">
        <f t="shared" si="0"/>
        <v>76</v>
      </c>
      <c r="F27" s="22">
        <f t="shared" si="2"/>
        <v>427</v>
      </c>
      <c r="G27" s="1"/>
    </row>
    <row r="28" spans="1:7" ht="15">
      <c r="A28" s="20">
        <v>9</v>
      </c>
      <c r="B28" s="45">
        <f t="shared" si="3"/>
        <v>42064</v>
      </c>
      <c r="C28" s="21">
        <f t="shared" si="1"/>
        <v>18245</v>
      </c>
      <c r="D28" s="21">
        <f>IF($E$10="miesięczna",IF($E$12&lt;9,0,IF((A28-$E$13-1)&lt;0,0,(C28/($E$14-(A28-$E$13-1))))),IF($E$12&lt;9,0,IF((A28-$E$13-3)&lt;0,0,(3*C28/($E$14-(A28-$E$13-3))))))</f>
        <v>351</v>
      </c>
      <c r="E28" s="21">
        <f t="shared" si="0"/>
        <v>75</v>
      </c>
      <c r="F28" s="22">
        <f t="shared" si="2"/>
        <v>426</v>
      </c>
      <c r="G28" s="1"/>
    </row>
    <row r="29" spans="1:7" ht="15">
      <c r="A29" s="20">
        <v>10</v>
      </c>
      <c r="B29" s="45">
        <f t="shared" si="3"/>
        <v>42095</v>
      </c>
      <c r="C29" s="21">
        <f t="shared" si="1"/>
        <v>17894</v>
      </c>
      <c r="D29" s="21">
        <f>IF($E$10="miesięczna",IF($E$12&lt;10,0,IF((A29-$E$13-1)&lt;0,0,(C29/($E$14-(A29-$E$13-1))))),IF($E$12&lt;10,0,0))</f>
        <v>351</v>
      </c>
      <c r="E29" s="21">
        <f t="shared" si="0"/>
        <v>74</v>
      </c>
      <c r="F29" s="22">
        <f t="shared" si="2"/>
        <v>425</v>
      </c>
      <c r="G29" s="1"/>
    </row>
    <row r="30" spans="1:7" ht="15">
      <c r="A30" s="20">
        <v>11</v>
      </c>
      <c r="B30" s="45">
        <f t="shared" si="3"/>
        <v>42125</v>
      </c>
      <c r="C30" s="21">
        <f t="shared" si="1"/>
        <v>17543</v>
      </c>
      <c r="D30" s="21">
        <f>IF($E$10="miesięczna",IF($E$12&lt;11,0,IF((A30-$E$13-1)&lt;0,0,(C30/($E$14-(A30-$E$13-1))))),IF($E$12&lt;11,0,0))</f>
        <v>351</v>
      </c>
      <c r="E30" s="21">
        <f t="shared" si="0"/>
        <v>72</v>
      </c>
      <c r="F30" s="22">
        <f t="shared" si="2"/>
        <v>423</v>
      </c>
      <c r="G30" s="1"/>
    </row>
    <row r="31" spans="1:7" ht="15">
      <c r="A31" s="20">
        <v>12</v>
      </c>
      <c r="B31" s="45">
        <f t="shared" si="3"/>
        <v>42156</v>
      </c>
      <c r="C31" s="21">
        <f t="shared" si="1"/>
        <v>17192</v>
      </c>
      <c r="D31" s="21">
        <f>IF($E$10="miesięczna",IF($E$12&lt;12,0,IF((A31-$E$13-1)&lt;0,0,(C31/($E$14-(A31-$E$13-1))))),IF($E$12&lt;12,0,IF((A31-$E$13-3)&lt;0,0,(3*C31/($E$14-(A31-$E$13-3))))))</f>
        <v>351</v>
      </c>
      <c r="E31" s="21">
        <f t="shared" si="0"/>
        <v>71</v>
      </c>
      <c r="F31" s="22">
        <f t="shared" si="2"/>
        <v>422</v>
      </c>
      <c r="G31" s="1"/>
    </row>
    <row r="32" spans="1:7" ht="15">
      <c r="A32" s="20">
        <v>13</v>
      </c>
      <c r="B32" s="45">
        <f t="shared" si="3"/>
        <v>42186</v>
      </c>
      <c r="C32" s="21">
        <f t="shared" si="1"/>
        <v>16841</v>
      </c>
      <c r="D32" s="21">
        <f>IF($E$10="miesięczna",IF($E$12&lt;13,0,IF((A32-$E$13-1)&lt;0,0,(C32/($E$14-(A32-$E$13-1))))),IF($E$12&lt;13,0,0))</f>
        <v>351</v>
      </c>
      <c r="E32" s="21">
        <f t="shared" si="0"/>
        <v>69</v>
      </c>
      <c r="F32" s="22">
        <f t="shared" si="2"/>
        <v>420</v>
      </c>
      <c r="G32" s="1"/>
    </row>
    <row r="33" spans="1:7" ht="15">
      <c r="A33" s="20">
        <v>14</v>
      </c>
      <c r="B33" s="45">
        <f t="shared" si="3"/>
        <v>42217</v>
      </c>
      <c r="C33" s="21">
        <f t="shared" si="1"/>
        <v>16490</v>
      </c>
      <c r="D33" s="21">
        <f>IF($E$10="miesięczna",IF($E$12&lt;14,0,IF((A33-$E$13-1)&lt;0,0,(C33/($E$14-(A33-$E$13-1))))),IF($E$12&lt;14,0,0))</f>
        <v>351</v>
      </c>
      <c r="E33" s="21">
        <f t="shared" si="0"/>
        <v>68</v>
      </c>
      <c r="F33" s="22">
        <f t="shared" si="2"/>
        <v>419</v>
      </c>
      <c r="G33" s="1"/>
    </row>
    <row r="34" spans="1:7" ht="15">
      <c r="A34" s="20">
        <v>15</v>
      </c>
      <c r="B34" s="45">
        <f t="shared" si="3"/>
        <v>42248</v>
      </c>
      <c r="C34" s="21">
        <f t="shared" si="1"/>
        <v>16139</v>
      </c>
      <c r="D34" s="21">
        <f>IF($E$10="miesięczna",IF($E$12&lt;15,0,IF((A34-$E$13-1)&lt;0,0,(C34/($E$14-(A34-$E$13-1))))),IF($E$12&lt;15,0,IF((A34-$E$13-3)&lt;0,0,(3*C34/($E$14-(A34-$E$13-3))))))</f>
        <v>351</v>
      </c>
      <c r="E34" s="21">
        <f t="shared" si="0"/>
        <v>66</v>
      </c>
      <c r="F34" s="22">
        <f t="shared" si="2"/>
        <v>417</v>
      </c>
      <c r="G34" s="1"/>
    </row>
    <row r="35" spans="1:7" ht="15">
      <c r="A35" s="20">
        <v>16</v>
      </c>
      <c r="B35" s="45">
        <f t="shared" si="3"/>
        <v>42278</v>
      </c>
      <c r="C35" s="21">
        <f t="shared" si="1"/>
        <v>15788</v>
      </c>
      <c r="D35" s="21">
        <f>IF($E$10="miesięczna",IF($E$12&lt;16,0,IF((A35-$E$13-1)&lt;0,0,(C35/($E$14-(A35-$E$13-1))))),IF($E$12&lt;16,0,0))</f>
        <v>351</v>
      </c>
      <c r="E35" s="21">
        <f t="shared" si="0"/>
        <v>65</v>
      </c>
      <c r="F35" s="22">
        <f t="shared" si="2"/>
        <v>416</v>
      </c>
      <c r="G35" s="1"/>
    </row>
    <row r="36" spans="1:7" ht="15">
      <c r="A36" s="20">
        <v>17</v>
      </c>
      <c r="B36" s="45">
        <f t="shared" si="3"/>
        <v>42309</v>
      </c>
      <c r="C36" s="21">
        <f t="shared" si="1"/>
        <v>15437</v>
      </c>
      <c r="D36" s="21">
        <f>IF($E$10="miesięczna",IF($E$12&lt;17,0,IF((A36-$E$13-1)&lt;0,0,(C36/($E$14-(A36-$E$13-1))))),IF($E$12&lt;17,0,0))</f>
        <v>351</v>
      </c>
      <c r="E36" s="21">
        <f t="shared" si="0"/>
        <v>63</v>
      </c>
      <c r="F36" s="22">
        <f t="shared" si="2"/>
        <v>414</v>
      </c>
      <c r="G36" s="1"/>
    </row>
    <row r="37" spans="1:7" ht="15">
      <c r="A37" s="20">
        <v>18</v>
      </c>
      <c r="B37" s="45">
        <f t="shared" si="3"/>
        <v>42339</v>
      </c>
      <c r="C37" s="21">
        <f t="shared" si="1"/>
        <v>15086</v>
      </c>
      <c r="D37" s="21">
        <f>IF($E$10="miesięczna",IF($E$12&lt;18,0,IF((A37-$E$13-1)&lt;0,0,(C37/($E$14-(A37-$E$13-1))))),IF($E$12&lt;18,0,IF((A37-$E$13-3)&lt;0,0,(3*C37/($E$14-(A37-$E$13-3))))))</f>
        <v>351</v>
      </c>
      <c r="E37" s="21">
        <f t="shared" si="0"/>
        <v>62</v>
      </c>
      <c r="F37" s="22">
        <f t="shared" si="2"/>
        <v>413</v>
      </c>
      <c r="G37" s="1"/>
    </row>
    <row r="38" spans="1:7" ht="15">
      <c r="A38" s="20">
        <v>19</v>
      </c>
      <c r="B38" s="45">
        <f t="shared" si="3"/>
        <v>42370</v>
      </c>
      <c r="C38" s="21">
        <f t="shared" si="1"/>
        <v>14735</v>
      </c>
      <c r="D38" s="21">
        <f>IF($E$10="miesięczna",IF($E$12&lt;19,0,IF((A38-$E$13-1)&lt;0,0,(C38/($E$14-(A38-$E$13-1))))),IF($E$12&lt;19,0,0))</f>
        <v>351</v>
      </c>
      <c r="E38" s="21">
        <f t="shared" si="0"/>
        <v>61</v>
      </c>
      <c r="F38" s="22">
        <f t="shared" si="2"/>
        <v>412</v>
      </c>
      <c r="G38" s="1"/>
    </row>
    <row r="39" spans="1:7" ht="15">
      <c r="A39" s="20">
        <v>20</v>
      </c>
      <c r="B39" s="45">
        <f t="shared" si="3"/>
        <v>42401</v>
      </c>
      <c r="C39" s="21">
        <f t="shared" si="1"/>
        <v>14384</v>
      </c>
      <c r="D39" s="21">
        <f>IF($E$10="miesięczna",IF($E$12&lt;20,0,IF((A39-$E$13-1)&lt;0,0,(C39/($E$14-(A39-$E$13-1))))),IF($E$12&lt;20,0,0))</f>
        <v>351</v>
      </c>
      <c r="E39" s="21">
        <f t="shared" si="0"/>
        <v>59</v>
      </c>
      <c r="F39" s="22">
        <f t="shared" si="2"/>
        <v>410</v>
      </c>
      <c r="G39" s="1"/>
    </row>
    <row r="40" spans="1:7" ht="15">
      <c r="A40" s="20">
        <v>21</v>
      </c>
      <c r="B40" s="45">
        <f t="shared" si="3"/>
        <v>42430</v>
      </c>
      <c r="C40" s="21">
        <f t="shared" si="1"/>
        <v>14033</v>
      </c>
      <c r="D40" s="21">
        <f>IF($E$10="miesięczna",IF($E$12&lt;21,0,IF((A40-$E$13-1)&lt;0,0,(C40/($E$14-(A40-$E$13-1))))),IF($E$12&lt;21,0,IF((A40-$E$13-3)&lt;0,0,(3*C40/($E$14-(A40-$E$13-3))))))</f>
        <v>351</v>
      </c>
      <c r="E40" s="21">
        <f t="shared" si="0"/>
        <v>58</v>
      </c>
      <c r="F40" s="22">
        <f t="shared" si="2"/>
        <v>409</v>
      </c>
      <c r="G40" s="1"/>
    </row>
    <row r="41" spans="1:7" ht="15">
      <c r="A41" s="20">
        <v>22</v>
      </c>
      <c r="B41" s="45">
        <f t="shared" si="3"/>
        <v>42461</v>
      </c>
      <c r="C41" s="21">
        <f t="shared" si="1"/>
        <v>13682</v>
      </c>
      <c r="D41" s="21">
        <f>IF($E$10="miesięczna",IF($E$12&lt;22,0,IF((A41-$E$13-1)&lt;0,0,(C41/($E$14-(A41-$E$13-1))))),IF($E$12&lt;22,0,0))</f>
        <v>351</v>
      </c>
      <c r="E41" s="21">
        <f t="shared" si="0"/>
        <v>56</v>
      </c>
      <c r="F41" s="22">
        <f t="shared" si="2"/>
        <v>407</v>
      </c>
      <c r="G41" s="1"/>
    </row>
    <row r="42" spans="1:7" ht="15">
      <c r="A42" s="20">
        <v>23</v>
      </c>
      <c r="B42" s="45">
        <f t="shared" si="3"/>
        <v>42491</v>
      </c>
      <c r="C42" s="21">
        <f t="shared" si="1"/>
        <v>13331</v>
      </c>
      <c r="D42" s="21">
        <f>IF($E$10="miesięczna",IF($E$12&lt;23,0,IF((A42-$E$13-1)&lt;0,0,(C42/($E$14-(A42-$E$13-1))))),IF($E$12&lt;23,0,0))</f>
        <v>351</v>
      </c>
      <c r="E42" s="21">
        <f t="shared" si="0"/>
        <v>55</v>
      </c>
      <c r="F42" s="22">
        <f t="shared" si="2"/>
        <v>406</v>
      </c>
      <c r="G42" s="1"/>
    </row>
    <row r="43" spans="1:7" ht="15">
      <c r="A43" s="20">
        <v>24</v>
      </c>
      <c r="B43" s="45">
        <f t="shared" si="3"/>
        <v>42522</v>
      </c>
      <c r="C43" s="21">
        <f t="shared" si="1"/>
        <v>12980</v>
      </c>
      <c r="D43" s="21">
        <f>IF($E$10="miesięczna",IF($E$12&lt;24,0,IF((A43-$E$13-1)&lt;0,0,(C43/($E$14-(A43-$E$13-1))))),IF($E$12&lt;24,0,IF((A43-$E$13-3)&lt;0,0,(3*C43/($E$14-(A43-$E$13-3))))))</f>
        <v>351</v>
      </c>
      <c r="E43" s="21">
        <f t="shared" si="0"/>
        <v>53</v>
      </c>
      <c r="F43" s="22">
        <f t="shared" si="2"/>
        <v>404</v>
      </c>
      <c r="G43" s="1"/>
    </row>
    <row r="44" spans="1:7" ht="15">
      <c r="A44" s="20">
        <v>25</v>
      </c>
      <c r="B44" s="45">
        <f t="shared" si="3"/>
        <v>42552</v>
      </c>
      <c r="C44" s="21">
        <f t="shared" si="1"/>
        <v>12629</v>
      </c>
      <c r="D44" s="21">
        <f>IF($E$10="miesięczna",IF($E$12&lt;25,0,IF((A44-$E$13-1)&lt;0,0,(C44/($E$14-(A44-$E$13-1))))),IF($E$12&lt;25,0,0))</f>
        <v>351</v>
      </c>
      <c r="E44" s="21">
        <f t="shared" si="0"/>
        <v>52</v>
      </c>
      <c r="F44" s="22">
        <f t="shared" si="2"/>
        <v>403</v>
      </c>
      <c r="G44" s="1"/>
    </row>
    <row r="45" spans="1:7" ht="15">
      <c r="A45" s="20">
        <v>26</v>
      </c>
      <c r="B45" s="45">
        <f t="shared" si="3"/>
        <v>42583</v>
      </c>
      <c r="C45" s="21">
        <f t="shared" si="1"/>
        <v>12278</v>
      </c>
      <c r="D45" s="21">
        <f>IF($E$10="miesięczna",IF($E$12&lt;26,0,IF((A45-$E$13-1)&lt;0,0,(C45/($E$14-(A45-$E$13-1))))),IF($E$12&lt;26,0,0))</f>
        <v>351</v>
      </c>
      <c r="E45" s="21">
        <f t="shared" si="0"/>
        <v>50</v>
      </c>
      <c r="F45" s="22">
        <f t="shared" si="2"/>
        <v>401</v>
      </c>
      <c r="G45" s="1"/>
    </row>
    <row r="46" spans="1:7" ht="15">
      <c r="A46" s="20">
        <v>27</v>
      </c>
      <c r="B46" s="45">
        <f t="shared" si="3"/>
        <v>42614</v>
      </c>
      <c r="C46" s="21">
        <f t="shared" si="1"/>
        <v>11927</v>
      </c>
      <c r="D46" s="21">
        <f>IF($E$10="miesięczna",IF($E$12&lt;27,0,IF((A46-$E$13-1)&lt;0,0,(C46/($E$14-(A46-$E$13-1))))),IF($E$12&lt;27,0,IF((A46-$E$13-3)&lt;0,0,(3*C46/($E$14-(A46-$E$13-3))))))</f>
        <v>351</v>
      </c>
      <c r="E46" s="21">
        <f t="shared" si="0"/>
        <v>49</v>
      </c>
      <c r="F46" s="22">
        <f t="shared" si="2"/>
        <v>400</v>
      </c>
      <c r="G46" s="1"/>
    </row>
    <row r="47" spans="1:7" ht="15">
      <c r="A47" s="20">
        <v>28</v>
      </c>
      <c r="B47" s="45">
        <f t="shared" si="3"/>
        <v>42644</v>
      </c>
      <c r="C47" s="21">
        <f t="shared" si="1"/>
        <v>11576</v>
      </c>
      <c r="D47" s="21">
        <f>IF($E$10="miesięczna",IF($E$12&lt;28,0,IF((A47-$E$13-1)&lt;0,0,(C47/($E$14-(A47-$E$13-1))))),IF($E$12&lt;28,0,0))</f>
        <v>351</v>
      </c>
      <c r="E47" s="21">
        <f t="shared" si="0"/>
        <v>48</v>
      </c>
      <c r="F47" s="22">
        <f t="shared" si="2"/>
        <v>399</v>
      </c>
      <c r="G47" s="1"/>
    </row>
    <row r="48" spans="1:7" ht="15">
      <c r="A48" s="20">
        <v>29</v>
      </c>
      <c r="B48" s="45">
        <f t="shared" si="3"/>
        <v>42675</v>
      </c>
      <c r="C48" s="21">
        <f t="shared" si="1"/>
        <v>11225</v>
      </c>
      <c r="D48" s="21">
        <f>IF($E$10="miesięczna",IF($E$12&lt;29,0,IF((A48-$E$13-1)&lt;0,0,(C48/($E$14-(A48-$E$13-1))))),IF($E$12&lt;29,0,0))</f>
        <v>351</v>
      </c>
      <c r="E48" s="21">
        <f t="shared" si="0"/>
        <v>46</v>
      </c>
      <c r="F48" s="22">
        <f t="shared" si="2"/>
        <v>397</v>
      </c>
      <c r="G48" s="1"/>
    </row>
    <row r="49" spans="1:7" ht="15">
      <c r="A49" s="20">
        <v>30</v>
      </c>
      <c r="B49" s="45">
        <f t="shared" si="3"/>
        <v>42705</v>
      </c>
      <c r="C49" s="21">
        <f t="shared" si="1"/>
        <v>10874</v>
      </c>
      <c r="D49" s="21">
        <f>IF($E$10="miesięczna",IF($E$12&lt;30,0,IF((A49-$E$13-1)&lt;0,0,(C49/($E$14-(A49-$E$13-1))))),IF($E$12&lt;30,0,IF((A49-$E$13-3)&lt;0,0,(3*C49/($E$14-(A49-$E$13-3))))))</f>
        <v>351</v>
      </c>
      <c r="E49" s="21">
        <f t="shared" si="0"/>
        <v>45</v>
      </c>
      <c r="F49" s="22">
        <f t="shared" si="2"/>
        <v>396</v>
      </c>
      <c r="G49" s="1"/>
    </row>
    <row r="50" spans="1:7" ht="15">
      <c r="A50" s="20">
        <v>31</v>
      </c>
      <c r="B50" s="45">
        <f t="shared" si="3"/>
        <v>42736</v>
      </c>
      <c r="C50" s="21">
        <f t="shared" si="1"/>
        <v>10523</v>
      </c>
      <c r="D50" s="21">
        <f>IF($E$10="miesięczna",IF($E$12&lt;31,0,IF((A50-$E$13-1)&lt;0,0,(C50/($E$14-(A50-$E$13-1))))),IF($E$12&lt;31,0,0))</f>
        <v>351</v>
      </c>
      <c r="E50" s="21">
        <f t="shared" si="0"/>
        <v>43</v>
      </c>
      <c r="F50" s="22">
        <f t="shared" si="2"/>
        <v>394</v>
      </c>
      <c r="G50" s="1"/>
    </row>
    <row r="51" spans="1:7" ht="15">
      <c r="A51" s="20">
        <v>32</v>
      </c>
      <c r="B51" s="45">
        <f t="shared" si="3"/>
        <v>42767</v>
      </c>
      <c r="C51" s="21">
        <f t="shared" si="1"/>
        <v>10172</v>
      </c>
      <c r="D51" s="21">
        <f>IF($E$10="miesięczna",IF($E$12&lt;32,0,IF((A51-$E$13-1)&lt;0,0,(C51/($E$14-(A51-$E$13-1))))),IF($E$12&lt;32,0,0))</f>
        <v>351</v>
      </c>
      <c r="E51" s="21">
        <f t="shared" si="0"/>
        <v>42</v>
      </c>
      <c r="F51" s="22">
        <f t="shared" si="2"/>
        <v>393</v>
      </c>
      <c r="G51" s="1"/>
    </row>
    <row r="52" spans="1:7" ht="15">
      <c r="A52" s="20">
        <v>33</v>
      </c>
      <c r="B52" s="45">
        <f t="shared" si="3"/>
        <v>42795</v>
      </c>
      <c r="C52" s="21">
        <f t="shared" si="1"/>
        <v>9821</v>
      </c>
      <c r="D52" s="21">
        <f>IF($E$10="miesięczna",IF($E$12&lt;33,0,IF((A52-$E$13-1)&lt;0,0,(C52/($E$14-(A52-$E$13-1))))),IF($E$12&lt;33,0,IF((A52-$E$13-3)&lt;0,0,(3*C52/($E$14-(A52-$E$13-3))))))</f>
        <v>351</v>
      </c>
      <c r="E52" s="21">
        <f t="shared" si="0"/>
        <v>40</v>
      </c>
      <c r="F52" s="22">
        <f t="shared" si="2"/>
        <v>391</v>
      </c>
      <c r="G52" s="1"/>
    </row>
    <row r="53" spans="1:7" ht="15">
      <c r="A53" s="20">
        <v>34</v>
      </c>
      <c r="B53" s="45">
        <f t="shared" si="3"/>
        <v>42826</v>
      </c>
      <c r="C53" s="21">
        <f>SUM(C52-D52)</f>
        <v>9470</v>
      </c>
      <c r="D53" s="21">
        <f>IF($E$10="miesięczna",IF($E$12&lt;34,0,IF((A53-$E$13-1)&lt;0,0,(C53/($E$14-(A53-$E$13-1))))),IF($E$12&lt;34,0,0))</f>
        <v>351</v>
      </c>
      <c r="E53" s="21">
        <f t="shared" si="0"/>
        <v>39</v>
      </c>
      <c r="F53" s="22">
        <f>SUM(D53:E53)</f>
        <v>390</v>
      </c>
      <c r="G53" s="1"/>
    </row>
    <row r="54" spans="1:7" ht="15">
      <c r="A54" s="20">
        <v>35</v>
      </c>
      <c r="B54" s="45">
        <f t="shared" si="3"/>
        <v>42856</v>
      </c>
      <c r="C54" s="21">
        <f>SUM(C53-D53)</f>
        <v>9119</v>
      </c>
      <c r="D54" s="21">
        <f>IF($E$10="miesięczna",IF($E$12&lt;35,0,IF((A54-$E$13-1)&lt;0,0,(C54/($E$14-(A54-$E$13-1))))),IF($E$12&lt;35,0,0))</f>
        <v>351</v>
      </c>
      <c r="E54" s="21">
        <f t="shared" si="0"/>
        <v>37</v>
      </c>
      <c r="F54" s="22">
        <f>SUM(D54:E54)</f>
        <v>388</v>
      </c>
      <c r="G54" s="1"/>
    </row>
    <row r="55" spans="1:7" ht="15">
      <c r="A55" s="20">
        <v>36</v>
      </c>
      <c r="B55" s="45">
        <f t="shared" si="3"/>
        <v>42887</v>
      </c>
      <c r="C55" s="21">
        <f>SUM(C54-D54)</f>
        <v>8768</v>
      </c>
      <c r="D55" s="21">
        <f>IF($E$10="miesięczna",IF($E$12&lt;36,0,IF((A55-$E$13-1)&lt;0,0,(C55/($E$14-(A55-$E$13-1))))),IF($E$12&lt;36,0,IF((A55-$E$13-3)&lt;0,0,(3*C55/($E$14-(A55-$E$13-3))))))</f>
        <v>351</v>
      </c>
      <c r="E55" s="21">
        <f>IF($E$11="miesięczna",C55*$E$15/12,C55*$E$15/4)</f>
        <v>36</v>
      </c>
      <c r="F55" s="22">
        <f>SUM(D55:E55)</f>
        <v>387</v>
      </c>
      <c r="G55" s="1"/>
    </row>
    <row r="56" spans="1:7" ht="15">
      <c r="A56" s="46">
        <v>37</v>
      </c>
      <c r="B56" s="45">
        <f t="shared" si="3"/>
        <v>42917</v>
      </c>
      <c r="C56" s="21">
        <f aca="true" t="shared" si="4" ref="C56:C79">SUM(C55-D55)</f>
        <v>8417</v>
      </c>
      <c r="D56" s="21">
        <f aca="true" t="shared" si="5" ref="D56:D79">IF($E$10="miesięczna",IF($E$12&lt;36,0,IF((A56-$E$13-1)&lt;0,0,(C56/($E$14-(A56-$E$13-1))))),IF($E$12&lt;36,0,IF((A56-$E$13-3)&lt;0,0,(3*C56/($E$14-(A56-$E$13-3))))))</f>
        <v>351</v>
      </c>
      <c r="E56" s="21">
        <f aca="true" t="shared" si="6" ref="E56:E79">IF($E$11="miesięczna",C56*$E$15/12,C56*$E$15/4)</f>
        <v>35</v>
      </c>
      <c r="F56" s="22">
        <f aca="true" t="shared" si="7" ref="F56:F79">SUM(D56:E56)</f>
        <v>386</v>
      </c>
      <c r="G56" s="1"/>
    </row>
    <row r="57" spans="1:7" ht="15">
      <c r="A57" s="46">
        <v>38</v>
      </c>
      <c r="B57" s="45">
        <f t="shared" si="3"/>
        <v>42948</v>
      </c>
      <c r="C57" s="21">
        <f t="shared" si="4"/>
        <v>8066</v>
      </c>
      <c r="D57" s="21">
        <f t="shared" si="5"/>
        <v>351</v>
      </c>
      <c r="E57" s="21">
        <f t="shared" si="6"/>
        <v>33</v>
      </c>
      <c r="F57" s="22">
        <f t="shared" si="7"/>
        <v>384</v>
      </c>
      <c r="G57" s="1"/>
    </row>
    <row r="58" spans="1:7" ht="15">
      <c r="A58" s="46">
        <v>39</v>
      </c>
      <c r="B58" s="45">
        <f t="shared" si="3"/>
        <v>42979</v>
      </c>
      <c r="C58" s="21">
        <f t="shared" si="4"/>
        <v>7715</v>
      </c>
      <c r="D58" s="21">
        <f t="shared" si="5"/>
        <v>351</v>
      </c>
      <c r="E58" s="21">
        <f t="shared" si="6"/>
        <v>32</v>
      </c>
      <c r="F58" s="22">
        <f t="shared" si="7"/>
        <v>383</v>
      </c>
      <c r="G58" s="1"/>
    </row>
    <row r="59" spans="1:7" ht="15">
      <c r="A59" s="46">
        <v>40</v>
      </c>
      <c r="B59" s="45">
        <f t="shared" si="3"/>
        <v>43009</v>
      </c>
      <c r="C59" s="21">
        <f t="shared" si="4"/>
        <v>7364</v>
      </c>
      <c r="D59" s="21">
        <f t="shared" si="5"/>
        <v>351</v>
      </c>
      <c r="E59" s="21">
        <f t="shared" si="6"/>
        <v>30</v>
      </c>
      <c r="F59" s="22">
        <f t="shared" si="7"/>
        <v>381</v>
      </c>
      <c r="G59" s="1"/>
    </row>
    <row r="60" spans="1:7" ht="15">
      <c r="A60" s="46">
        <v>41</v>
      </c>
      <c r="B60" s="45">
        <f t="shared" si="3"/>
        <v>43040</v>
      </c>
      <c r="C60" s="21">
        <f t="shared" si="4"/>
        <v>7013</v>
      </c>
      <c r="D60" s="21">
        <f t="shared" si="5"/>
        <v>351</v>
      </c>
      <c r="E60" s="21">
        <f t="shared" si="6"/>
        <v>29</v>
      </c>
      <c r="F60" s="22">
        <f t="shared" si="7"/>
        <v>380</v>
      </c>
      <c r="G60" s="1"/>
    </row>
    <row r="61" spans="1:7" ht="15">
      <c r="A61" s="46">
        <v>42</v>
      </c>
      <c r="B61" s="45">
        <f t="shared" si="3"/>
        <v>43070</v>
      </c>
      <c r="C61" s="21">
        <f t="shared" si="4"/>
        <v>6662</v>
      </c>
      <c r="D61" s="21">
        <f t="shared" si="5"/>
        <v>351</v>
      </c>
      <c r="E61" s="21">
        <f t="shared" si="6"/>
        <v>27</v>
      </c>
      <c r="F61" s="22">
        <f t="shared" si="7"/>
        <v>378</v>
      </c>
      <c r="G61" s="1"/>
    </row>
    <row r="62" spans="1:7" ht="15">
      <c r="A62" s="46">
        <v>43</v>
      </c>
      <c r="B62" s="45">
        <f t="shared" si="3"/>
        <v>43101</v>
      </c>
      <c r="C62" s="21">
        <f t="shared" si="4"/>
        <v>6311</v>
      </c>
      <c r="D62" s="21">
        <f t="shared" si="5"/>
        <v>351</v>
      </c>
      <c r="E62" s="21">
        <f t="shared" si="6"/>
        <v>26</v>
      </c>
      <c r="F62" s="22">
        <f t="shared" si="7"/>
        <v>377</v>
      </c>
      <c r="G62" s="1"/>
    </row>
    <row r="63" spans="1:7" ht="15">
      <c r="A63" s="46">
        <v>44</v>
      </c>
      <c r="B63" s="45">
        <f t="shared" si="3"/>
        <v>43132</v>
      </c>
      <c r="C63" s="21">
        <f t="shared" si="4"/>
        <v>5960</v>
      </c>
      <c r="D63" s="21">
        <f t="shared" si="5"/>
        <v>351</v>
      </c>
      <c r="E63" s="21">
        <f t="shared" si="6"/>
        <v>24</v>
      </c>
      <c r="F63" s="22">
        <f t="shared" si="7"/>
        <v>375</v>
      </c>
      <c r="G63" s="1"/>
    </row>
    <row r="64" spans="1:7" ht="15">
      <c r="A64" s="46">
        <v>45</v>
      </c>
      <c r="B64" s="45">
        <f t="shared" si="3"/>
        <v>43160</v>
      </c>
      <c r="C64" s="21">
        <f t="shared" si="4"/>
        <v>5609</v>
      </c>
      <c r="D64" s="21">
        <f t="shared" si="5"/>
        <v>351</v>
      </c>
      <c r="E64" s="21">
        <f t="shared" si="6"/>
        <v>23</v>
      </c>
      <c r="F64" s="22">
        <f t="shared" si="7"/>
        <v>374</v>
      </c>
      <c r="G64" s="1"/>
    </row>
    <row r="65" spans="1:7" ht="15">
      <c r="A65" s="46">
        <v>46</v>
      </c>
      <c r="B65" s="45">
        <f t="shared" si="3"/>
        <v>43191</v>
      </c>
      <c r="C65" s="21">
        <f t="shared" si="4"/>
        <v>5258</v>
      </c>
      <c r="D65" s="21">
        <f t="shared" si="5"/>
        <v>351</v>
      </c>
      <c r="E65" s="21">
        <f t="shared" si="6"/>
        <v>22</v>
      </c>
      <c r="F65" s="22">
        <f t="shared" si="7"/>
        <v>373</v>
      </c>
      <c r="G65" s="1"/>
    </row>
    <row r="66" spans="1:7" ht="15">
      <c r="A66" s="46">
        <v>47</v>
      </c>
      <c r="B66" s="45">
        <f t="shared" si="3"/>
        <v>43221</v>
      </c>
      <c r="C66" s="21">
        <f t="shared" si="4"/>
        <v>4907</v>
      </c>
      <c r="D66" s="21">
        <f t="shared" si="5"/>
        <v>351</v>
      </c>
      <c r="E66" s="21">
        <f t="shared" si="6"/>
        <v>20</v>
      </c>
      <c r="F66" s="22">
        <f t="shared" si="7"/>
        <v>371</v>
      </c>
      <c r="G66" s="1"/>
    </row>
    <row r="67" spans="1:7" ht="15">
      <c r="A67" s="46">
        <v>48</v>
      </c>
      <c r="B67" s="45">
        <f t="shared" si="3"/>
        <v>43252</v>
      </c>
      <c r="C67" s="21">
        <f t="shared" si="4"/>
        <v>4556</v>
      </c>
      <c r="D67" s="21">
        <f t="shared" si="5"/>
        <v>350</v>
      </c>
      <c r="E67" s="21">
        <f t="shared" si="6"/>
        <v>19</v>
      </c>
      <c r="F67" s="22">
        <f t="shared" si="7"/>
        <v>369</v>
      </c>
      <c r="G67" s="1"/>
    </row>
    <row r="68" spans="1:7" ht="15">
      <c r="A68" s="46">
        <v>49</v>
      </c>
      <c r="B68" s="45">
        <f t="shared" si="3"/>
        <v>43282</v>
      </c>
      <c r="C68" s="21">
        <f t="shared" si="4"/>
        <v>4206</v>
      </c>
      <c r="D68" s="21">
        <f t="shared" si="5"/>
        <v>351</v>
      </c>
      <c r="E68" s="21">
        <f t="shared" si="6"/>
        <v>17</v>
      </c>
      <c r="F68" s="22">
        <f t="shared" si="7"/>
        <v>368</v>
      </c>
      <c r="G68" s="1"/>
    </row>
    <row r="69" spans="1:7" ht="15">
      <c r="A69" s="46">
        <v>50</v>
      </c>
      <c r="B69" s="45">
        <f t="shared" si="3"/>
        <v>43313</v>
      </c>
      <c r="C69" s="21">
        <f t="shared" si="4"/>
        <v>3855</v>
      </c>
      <c r="D69" s="21">
        <f t="shared" si="5"/>
        <v>350</v>
      </c>
      <c r="E69" s="21">
        <f t="shared" si="6"/>
        <v>16</v>
      </c>
      <c r="F69" s="22">
        <f t="shared" si="7"/>
        <v>366</v>
      </c>
      <c r="G69" s="1"/>
    </row>
    <row r="70" spans="1:7" ht="15">
      <c r="A70" s="46">
        <v>51</v>
      </c>
      <c r="B70" s="45">
        <f t="shared" si="3"/>
        <v>43344</v>
      </c>
      <c r="C70" s="21">
        <f t="shared" si="4"/>
        <v>3505</v>
      </c>
      <c r="D70" s="21">
        <f t="shared" si="5"/>
        <v>351</v>
      </c>
      <c r="E70" s="21">
        <f t="shared" si="6"/>
        <v>14</v>
      </c>
      <c r="F70" s="22">
        <f t="shared" si="7"/>
        <v>365</v>
      </c>
      <c r="G70" s="1"/>
    </row>
    <row r="71" spans="1:7" ht="15">
      <c r="A71" s="46">
        <v>52</v>
      </c>
      <c r="B71" s="45">
        <f t="shared" si="3"/>
        <v>43374</v>
      </c>
      <c r="C71" s="21">
        <f t="shared" si="4"/>
        <v>3154</v>
      </c>
      <c r="D71" s="21">
        <f t="shared" si="5"/>
        <v>350</v>
      </c>
      <c r="E71" s="21">
        <f t="shared" si="6"/>
        <v>13</v>
      </c>
      <c r="F71" s="22">
        <f t="shared" si="7"/>
        <v>363</v>
      </c>
      <c r="G71" s="1"/>
    </row>
    <row r="72" spans="1:7" ht="15">
      <c r="A72" s="46">
        <v>53</v>
      </c>
      <c r="B72" s="45">
        <f t="shared" si="3"/>
        <v>43405</v>
      </c>
      <c r="C72" s="21">
        <f t="shared" si="4"/>
        <v>2804</v>
      </c>
      <c r="D72" s="21">
        <f t="shared" si="5"/>
        <v>351</v>
      </c>
      <c r="E72" s="21">
        <f t="shared" si="6"/>
        <v>12</v>
      </c>
      <c r="F72" s="22">
        <f t="shared" si="7"/>
        <v>363</v>
      </c>
      <c r="G72" s="1"/>
    </row>
    <row r="73" spans="1:7" ht="15">
      <c r="A73" s="46">
        <v>54</v>
      </c>
      <c r="B73" s="45">
        <f t="shared" si="3"/>
        <v>43435</v>
      </c>
      <c r="C73" s="21">
        <f t="shared" si="4"/>
        <v>2453</v>
      </c>
      <c r="D73" s="21">
        <f t="shared" si="5"/>
        <v>350</v>
      </c>
      <c r="E73" s="21">
        <f t="shared" si="6"/>
        <v>10</v>
      </c>
      <c r="F73" s="22">
        <f t="shared" si="7"/>
        <v>360</v>
      </c>
      <c r="G73" s="1"/>
    </row>
    <row r="74" spans="1:7" ht="15">
      <c r="A74" s="46">
        <v>55</v>
      </c>
      <c r="B74" s="45">
        <f t="shared" si="3"/>
        <v>43466</v>
      </c>
      <c r="C74" s="21">
        <f t="shared" si="4"/>
        <v>2103</v>
      </c>
      <c r="D74" s="21">
        <f t="shared" si="5"/>
        <v>351</v>
      </c>
      <c r="E74" s="21">
        <f t="shared" si="6"/>
        <v>9</v>
      </c>
      <c r="F74" s="22">
        <f t="shared" si="7"/>
        <v>360</v>
      </c>
      <c r="G74" s="1"/>
    </row>
    <row r="75" spans="1:7" ht="15">
      <c r="A75" s="46">
        <v>56</v>
      </c>
      <c r="B75" s="45">
        <f t="shared" si="3"/>
        <v>43497</v>
      </c>
      <c r="C75" s="21">
        <f t="shared" si="4"/>
        <v>1752</v>
      </c>
      <c r="D75" s="21">
        <f t="shared" si="5"/>
        <v>350</v>
      </c>
      <c r="E75" s="21">
        <f t="shared" si="6"/>
        <v>7</v>
      </c>
      <c r="F75" s="22">
        <f t="shared" si="7"/>
        <v>357</v>
      </c>
      <c r="G75" s="1"/>
    </row>
    <row r="76" spans="1:7" ht="15">
      <c r="A76" s="46">
        <v>57</v>
      </c>
      <c r="B76" s="45">
        <f t="shared" si="3"/>
        <v>43525</v>
      </c>
      <c r="C76" s="21">
        <f t="shared" si="4"/>
        <v>1402</v>
      </c>
      <c r="D76" s="21">
        <f t="shared" si="5"/>
        <v>351</v>
      </c>
      <c r="E76" s="21">
        <f t="shared" si="6"/>
        <v>6</v>
      </c>
      <c r="F76" s="22">
        <f t="shared" si="7"/>
        <v>357</v>
      </c>
      <c r="G76" s="1"/>
    </row>
    <row r="77" spans="1:7" ht="15">
      <c r="A77" s="46">
        <v>58</v>
      </c>
      <c r="B77" s="45">
        <f t="shared" si="3"/>
        <v>43556</v>
      </c>
      <c r="C77" s="21">
        <f t="shared" si="4"/>
        <v>1051</v>
      </c>
      <c r="D77" s="21">
        <f t="shared" si="5"/>
        <v>350</v>
      </c>
      <c r="E77" s="21">
        <f t="shared" si="6"/>
        <v>4</v>
      </c>
      <c r="F77" s="22">
        <f t="shared" si="7"/>
        <v>354</v>
      </c>
      <c r="G77" s="1"/>
    </row>
    <row r="78" spans="1:7" ht="15">
      <c r="A78" s="46">
        <v>59</v>
      </c>
      <c r="B78" s="45">
        <f t="shared" si="3"/>
        <v>43586</v>
      </c>
      <c r="C78" s="21">
        <f t="shared" si="4"/>
        <v>701</v>
      </c>
      <c r="D78" s="21">
        <f t="shared" si="5"/>
        <v>351</v>
      </c>
      <c r="E78" s="21">
        <f t="shared" si="6"/>
        <v>3</v>
      </c>
      <c r="F78" s="22">
        <f t="shared" si="7"/>
        <v>354</v>
      </c>
      <c r="G78" s="1"/>
    </row>
    <row r="79" spans="1:7" ht="15">
      <c r="A79" s="46">
        <v>60</v>
      </c>
      <c r="B79" s="45">
        <f t="shared" si="3"/>
        <v>43617</v>
      </c>
      <c r="C79" s="21">
        <f t="shared" si="4"/>
        <v>350</v>
      </c>
      <c r="D79" s="21">
        <f t="shared" si="5"/>
        <v>350</v>
      </c>
      <c r="E79" s="21">
        <f t="shared" si="6"/>
        <v>1</v>
      </c>
      <c r="F79" s="22">
        <f t="shared" si="7"/>
        <v>351</v>
      </c>
      <c r="G79" s="1"/>
    </row>
    <row r="80" spans="1:7" ht="15.75" thickBot="1">
      <c r="A80" s="23"/>
      <c r="B80" s="45"/>
      <c r="C80" s="24" t="s">
        <v>22</v>
      </c>
      <c r="D80" s="25">
        <f>SUM(D20:D79)</f>
        <v>20000</v>
      </c>
      <c r="E80" s="25">
        <f>SUM(E20:E79)</f>
        <v>2628</v>
      </c>
      <c r="F80" s="25">
        <f>SUM(F20:F79)</f>
        <v>22628</v>
      </c>
      <c r="G80" s="1"/>
    </row>
    <row r="81" spans="1:7" ht="16.5" thickBot="1" thickTop="1">
      <c r="A81" s="5"/>
      <c r="B81" s="5"/>
      <c r="C81" s="26"/>
      <c r="D81" s="26"/>
      <c r="E81" s="26"/>
      <c r="F81" s="26"/>
      <c r="G81" s="1"/>
    </row>
    <row r="82" spans="1:7" ht="15.75" thickTop="1">
      <c r="A82" s="27" t="s">
        <v>23</v>
      </c>
      <c r="B82" s="28"/>
      <c r="C82" s="29"/>
      <c r="D82" s="29" t="s">
        <v>24</v>
      </c>
      <c r="E82" s="29" t="s">
        <v>25</v>
      </c>
      <c r="F82" s="30" t="s">
        <v>26</v>
      </c>
      <c r="G82" s="1"/>
    </row>
    <row r="83" spans="1:7" ht="15.75" thickBot="1">
      <c r="A83" s="31"/>
      <c r="B83" s="32"/>
      <c r="C83" s="33"/>
      <c r="D83" s="33"/>
      <c r="E83" s="33"/>
      <c r="F83" s="34"/>
      <c r="G83" s="1"/>
    </row>
    <row r="84" spans="1:7" ht="15.75" thickTop="1">
      <c r="A84" s="35" t="s">
        <v>27</v>
      </c>
      <c r="B84" s="36"/>
      <c r="C84" s="37"/>
      <c r="D84" s="37">
        <f>SUM(D20:D31)/12</f>
        <v>263</v>
      </c>
      <c r="E84" s="37">
        <f>SUM(D32:D43)/12</f>
        <v>351</v>
      </c>
      <c r="F84" s="22">
        <f>SUM(D44:D55)/12</f>
        <v>351</v>
      </c>
      <c r="G84" s="1"/>
    </row>
    <row r="85" spans="1:7" ht="15">
      <c r="A85" s="35" t="s">
        <v>28</v>
      </c>
      <c r="B85" s="36"/>
      <c r="C85" s="37"/>
      <c r="D85" s="37">
        <f>SUM(E20:E31)/12</f>
        <v>78</v>
      </c>
      <c r="E85" s="37">
        <f>SUM(E32:E43)/12</f>
        <v>61</v>
      </c>
      <c r="F85" s="22">
        <f>SUM(E44:E55)/12</f>
        <v>44</v>
      </c>
      <c r="G85" s="1"/>
    </row>
    <row r="86" spans="1:7" ht="15.75" thickBot="1">
      <c r="A86" s="38" t="s">
        <v>29</v>
      </c>
      <c r="B86" s="39"/>
      <c r="C86" s="40"/>
      <c r="D86" s="40">
        <f>SUM(D84+D85)</f>
        <v>341</v>
      </c>
      <c r="E86" s="40">
        <f>SUM(E84+E85)</f>
        <v>412</v>
      </c>
      <c r="F86" s="41">
        <f>SUM(F84+F85)</f>
        <v>395</v>
      </c>
      <c r="G86" s="1"/>
    </row>
    <row r="87" spans="1:7" ht="15.75" thickTop="1">
      <c r="A87" s="1"/>
      <c r="B87" s="1"/>
      <c r="C87" s="1"/>
      <c r="D87" s="1"/>
      <c r="E87" s="1"/>
      <c r="F87" s="1"/>
      <c r="G87" s="1"/>
    </row>
  </sheetData>
  <mergeCells count="1">
    <mergeCell ref="A1:F1"/>
  </mergeCells>
  <printOptions/>
  <pageMargins left="0.75" right="0.75" top="1" bottom="1" header="0.5" footer="0.5"/>
  <pageSetup fitToHeight="1" fitToWidth="1" horizontalDpi="300" verticalDpi="300" orientation="portrait" paperSize="9" scale="73" r:id="rId3"/>
  <headerFooter alignWithMargins="0">
    <oddHeader>&amp;CHarmonogram spłat rat pożyczki nr 87/99
</oddHeader>
    <oddFooter>&amp;CAleksandra Banachowicz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Fundacja KIP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</dc:title>
  <dc:subject/>
  <dc:creator>STOWARZYSZENIE "OSP"</dc:creator>
  <cp:keywords/>
  <dc:description/>
  <cp:lastModifiedBy>Użytkownik</cp:lastModifiedBy>
  <cp:lastPrinted>2000-03-03T08:46:16Z</cp:lastPrinted>
  <dcterms:created xsi:type="dcterms:W3CDTF">1999-11-15T11:48:57Z</dcterms:created>
  <dcterms:modified xsi:type="dcterms:W3CDTF">2014-07-10T06:12:06Z</dcterms:modified>
  <cp:category/>
  <cp:version/>
  <cp:contentType/>
  <cp:contentStatus/>
</cp:coreProperties>
</file>